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4to TRIMESTRE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Hoja1!$A$1:$Q$50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" i="1" l="1"/>
  <c r="P40" i="1"/>
  <c r="O40" i="1"/>
  <c r="Q39" i="1"/>
  <c r="P39" i="1"/>
  <c r="O39" i="1"/>
  <c r="Q38" i="1"/>
  <c r="P38" i="1"/>
  <c r="O38" i="1"/>
  <c r="Q37" i="1"/>
  <c r="P37" i="1"/>
  <c r="O37" i="1"/>
  <c r="P36" i="1"/>
  <c r="N36" i="1"/>
  <c r="L36" i="1"/>
  <c r="Q36" i="1" s="1"/>
  <c r="G36" i="1"/>
  <c r="E36" i="1"/>
  <c r="Q35" i="1"/>
  <c r="P35" i="1"/>
  <c r="O35" i="1"/>
  <c r="Q34" i="1"/>
  <c r="P34" i="1"/>
  <c r="O34" i="1"/>
  <c r="Q33" i="1"/>
  <c r="P33" i="1"/>
  <c r="O33" i="1"/>
  <c r="Q32" i="1"/>
  <c r="P32" i="1"/>
  <c r="O32" i="1"/>
  <c r="P31" i="1"/>
  <c r="O31" i="1"/>
  <c r="N31" i="1"/>
  <c r="L31" i="1"/>
  <c r="Q31" i="1" s="1"/>
  <c r="G31" i="1"/>
  <c r="E31" i="1"/>
  <c r="P30" i="1"/>
  <c r="J30" i="1"/>
  <c r="O30" i="1" s="1"/>
  <c r="I30" i="1"/>
  <c r="P29" i="1"/>
  <c r="I29" i="1"/>
  <c r="J29" i="1" s="1"/>
  <c r="P28" i="1"/>
  <c r="P27" i="1" s="1"/>
  <c r="I28" i="1"/>
  <c r="J28" i="1" s="1"/>
  <c r="N27" i="1"/>
  <c r="N42" i="1" s="1"/>
  <c r="M27" i="1"/>
  <c r="L27" i="1"/>
  <c r="K27" i="1"/>
  <c r="I27" i="1"/>
  <c r="H27" i="1"/>
  <c r="P26" i="1"/>
  <c r="I26" i="1"/>
  <c r="J26" i="1" s="1"/>
  <c r="P25" i="1"/>
  <c r="P22" i="1" s="1"/>
  <c r="I25" i="1"/>
  <c r="J25" i="1" s="1"/>
  <c r="P24" i="1"/>
  <c r="I24" i="1"/>
  <c r="I22" i="1" s="1"/>
  <c r="P23" i="1"/>
  <c r="J23" i="1"/>
  <c r="Q23" i="1" s="1"/>
  <c r="I23" i="1"/>
  <c r="N22" i="1"/>
  <c r="M22" i="1"/>
  <c r="L22" i="1"/>
  <c r="K22" i="1"/>
  <c r="H22" i="1"/>
  <c r="I21" i="1"/>
  <c r="J21" i="1" s="1"/>
  <c r="P20" i="1"/>
  <c r="I20" i="1"/>
  <c r="J20" i="1" s="1"/>
  <c r="P19" i="1"/>
  <c r="J19" i="1"/>
  <c r="Q19" i="1" s="1"/>
  <c r="I19" i="1"/>
  <c r="P18" i="1"/>
  <c r="I18" i="1"/>
  <c r="J18" i="1" s="1"/>
  <c r="P17" i="1"/>
  <c r="P14" i="1" s="1"/>
  <c r="I17" i="1"/>
  <c r="J17" i="1" s="1"/>
  <c r="P16" i="1"/>
  <c r="I16" i="1"/>
  <c r="J16" i="1" s="1"/>
  <c r="P15" i="1"/>
  <c r="J15" i="1"/>
  <c r="Q15" i="1" s="1"/>
  <c r="I15" i="1"/>
  <c r="N14" i="1"/>
  <c r="M14" i="1"/>
  <c r="L14" i="1"/>
  <c r="K14" i="1"/>
  <c r="H14" i="1"/>
  <c r="P13" i="1"/>
  <c r="I13" i="1"/>
  <c r="J13" i="1" s="1"/>
  <c r="P12" i="1"/>
  <c r="J12" i="1"/>
  <c r="Q12" i="1" s="1"/>
  <c r="I12" i="1"/>
  <c r="P11" i="1"/>
  <c r="I11" i="1"/>
  <c r="J11" i="1" s="1"/>
  <c r="P10" i="1"/>
  <c r="N10" i="1"/>
  <c r="M10" i="1"/>
  <c r="M42" i="1" s="1"/>
  <c r="L10" i="1"/>
  <c r="L42" i="1" s="1"/>
  <c r="K10" i="1"/>
  <c r="K42" i="1" s="1"/>
  <c r="H10" i="1"/>
  <c r="H42" i="1" s="1"/>
  <c r="Q16" i="1" l="1"/>
  <c r="Q14" i="1" s="1"/>
  <c r="O16" i="1"/>
  <c r="O18" i="1"/>
  <c r="Q18" i="1"/>
  <c r="J22" i="1"/>
  <c r="O22" i="1" s="1"/>
  <c r="O26" i="1"/>
  <c r="Q26" i="1"/>
  <c r="Q28" i="1"/>
  <c r="O28" i="1"/>
  <c r="J27" i="1"/>
  <c r="O27" i="1" s="1"/>
  <c r="O11" i="1"/>
  <c r="Q11" i="1"/>
  <c r="Q10" i="1" s="1"/>
  <c r="O13" i="1"/>
  <c r="Q13" i="1"/>
  <c r="O17" i="1"/>
  <c r="Q17" i="1"/>
  <c r="O25" i="1"/>
  <c r="Q25" i="1"/>
  <c r="O29" i="1"/>
  <c r="Q29" i="1"/>
  <c r="Q21" i="1"/>
  <c r="O21" i="1"/>
  <c r="O20" i="1"/>
  <c r="Q20" i="1"/>
  <c r="I10" i="1"/>
  <c r="I42" i="1" s="1"/>
  <c r="J42" i="1" s="1"/>
  <c r="O42" i="1" s="1"/>
  <c r="O12" i="1"/>
  <c r="O15" i="1"/>
  <c r="O19" i="1"/>
  <c r="O23" i="1"/>
  <c r="J24" i="1"/>
  <c r="I14" i="1"/>
  <c r="J14" i="1" s="1"/>
  <c r="O14" i="1" s="1"/>
  <c r="Q30" i="1"/>
  <c r="O36" i="1"/>
  <c r="Q27" i="1" l="1"/>
  <c r="J10" i="1"/>
  <c r="O10" i="1" s="1"/>
  <c r="Q24" i="1"/>
  <c r="O24" i="1"/>
  <c r="Q22" i="1" l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<sst xmlns="http://schemas.openxmlformats.org/spreadsheetml/2006/main" count="68" uniqueCount="64">
  <si>
    <t>Ente Público:</t>
  </si>
  <si>
    <t>Universidad Tecnológica de San Miguel de Allende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</si>
  <si>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</si>
  <si>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</si>
  <si>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</si>
  <si>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</si>
  <si>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</si>
  <si>
    <t>Del 01 de Enero al 31 de Diciembre de 2016</t>
  </si>
  <si>
    <t>Modificado</t>
  </si>
  <si>
    <t>Devengado</t>
  </si>
  <si>
    <t>Egresos</t>
  </si>
  <si>
    <t>Subejercicio</t>
  </si>
  <si>
    <t>Aprobado</t>
  </si>
  <si>
    <t>Ampliaciones/ (Reducciones)</t>
  </si>
  <si>
    <t>Comprometido</t>
  </si>
  <si>
    <t>Ejercido</t>
  </si>
  <si>
    <t>Pagado</t>
  </si>
  <si>
    <t>3 = (1 + 2 )</t>
  </si>
  <si>
    <t>6 = ( 3 - 5 )</t>
  </si>
  <si>
    <t>Total del Gasto</t>
  </si>
  <si>
    <t>PROGRAMAS Y PROYECTOS DE INVERSIÓN</t>
  </si>
  <si>
    <t>Tipo de Programas y Proyectos</t>
  </si>
  <si>
    <t>Programa o Proyecto</t>
  </si>
  <si>
    <t>UR</t>
  </si>
  <si>
    <t>% Avance Financiero</t>
  </si>
  <si>
    <t>Denominación</t>
  </si>
  <si>
    <t>Devengado/ Aprobado</t>
  </si>
  <si>
    <t>Devengado/ Modificado</t>
  </si>
  <si>
    <t>5/1</t>
  </si>
  <si>
    <t>5/3</t>
  </si>
  <si>
    <t>RECTORÍA</t>
  </si>
  <si>
    <t>G0101</t>
  </si>
  <si>
    <t>GESTIÓN</t>
  </si>
  <si>
    <t>G0102</t>
  </si>
  <si>
    <t>MANDO</t>
  </si>
  <si>
    <t>P0789</t>
  </si>
  <si>
    <t>GESTIÓN DE CERTIFICACIÓN</t>
  </si>
  <si>
    <t>ACADEMIA</t>
  </si>
  <si>
    <t>P0783</t>
  </si>
  <si>
    <t>ADMINISTRACIÓN EN IM</t>
  </si>
  <si>
    <t>P0784</t>
  </si>
  <si>
    <t>APLICACIÓN DE PLANES</t>
  </si>
  <si>
    <t>P0785</t>
  </si>
  <si>
    <t>APOYO PARA LA PROFESIONALIZACIÓN</t>
  </si>
  <si>
    <t>P0787</t>
  </si>
  <si>
    <t>CURSOS Y EVENTOS DE</t>
  </si>
  <si>
    <t>P0788</t>
  </si>
  <si>
    <t>GESTIÓN DEL PROCESO</t>
  </si>
  <si>
    <t>P0791</t>
  </si>
  <si>
    <t>OPERACIÓN DE OTROGAMIENTO</t>
  </si>
  <si>
    <t>Q1594</t>
  </si>
  <si>
    <t>INFRAESTRUCTURA DE LA</t>
  </si>
  <si>
    <t>VINCULACIÓN</t>
  </si>
  <si>
    <t>P0782</t>
  </si>
  <si>
    <t>ACTUALIZACIÓN DE PROYECTO</t>
  </si>
  <si>
    <t>P0786</t>
  </si>
  <si>
    <t>CAPACITACIÓN Y CERTIFICACIÓN</t>
  </si>
  <si>
    <t>P0792</t>
  </si>
  <si>
    <t>OPERACIÓN DE SERVICIOS</t>
  </si>
  <si>
    <t>P0794</t>
  </si>
  <si>
    <t>REALIZACIÓN DE FOROS</t>
  </si>
  <si>
    <t>FINANZAS</t>
  </si>
  <si>
    <t>P0790</t>
  </si>
  <si>
    <t>MANTENIMIENTO DE 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</si>
</sst>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4" fontId="4" fillId="0" borderId="0"/>
    <xf numFmtId="0" fontId="1" fillId="0" borderId="0"/>
  </cellStyleXfs>
  <cellXfs count="89">
    <xf numFmtId="0" fontId="0" fillId="0" borderId="0" xfId="0"/>
    <xf numFmtId="0" fontId="3" fillId="3" borderId="0" xfId="0" applyFont="1" applyFill="1" applyBorder="1" applyAlignment="1">
      <alignment horizontal="right"/>
    </xf>
    <xf numFmtId="0" fontId="2" fillId="3" borderId="0" xfId="0" applyFont="1" applyFill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3" borderId="0" xfId="0" applyFont="1" applyFill="1"/>
    <xf numFmtId="0" fontId="2" fillId="0" borderId="0" xfId="0" applyFont="1"/>
    <xf numFmtId="0" fontId="5" fillId="2" borderId="11" xfId="0" applyFont="1" applyFill="1" applyBorder="1" applyAlignment="1">
      <alignment horizontal="center"/>
    </xf>
    <xf numFmtId="0" fontId="2" fillId="0" borderId="1" xfId="0" applyFont="1" applyBorder="1"/>
    <xf numFmtId="0" fontId="6" fillId="3" borderId="0" xfId="0" applyFont="1" applyFill="1"/>
    <xf numFmtId="0" fontId="5" fillId="3" borderId="0" xfId="0" applyFont="1" applyFill="1"/>
    <xf numFmtId="0" fontId="5" fillId="0" borderId="0" xfId="0" applyFont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 horizontal="justify" vertical="center" wrapText="1"/>
    </xf>
    <xf numFmtId="0" fontId="5" fillId="3" borderId="10" xfId="0" applyFont="1" applyFill="1" applyBorder="1" applyAlignment="1">
      <alignment horizontal="left" vertical="center" wrapText="1" indent="3"/>
    </xf>
    <xf numFmtId="0" fontId="5" fillId="3" borderId="11" xfId="0" applyFont="1" applyFill="1" applyBorder="1" applyAlignment="1">
      <alignment horizontal="left" vertical="center" wrapText="1" indent="3"/>
    </xf>
    <xf numFmtId="0" fontId="3" fillId="3" borderId="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43" fontId="5" fillId="3" borderId="14" xfId="0" applyNumberFormat="1" applyFont="1" applyFill="1" applyBorder="1" applyAlignment="1">
      <alignment horizontal="right" vertical="center" wrapText="1"/>
    </xf>
    <xf numFmtId="43" fontId="5" fillId="0" borderId="14" xfId="1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5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 wrapText="1"/>
    </xf>
    <xf numFmtId="43" fontId="2" fillId="0" borderId="14" xfId="1" applyFont="1" applyFill="1" applyBorder="1" applyAlignment="1">
      <alignment horizontal="right" vertical="center" wrapText="1"/>
    </xf>
    <xf numFmtId="9" fontId="2" fillId="0" borderId="14" xfId="2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43" fontId="2" fillId="0" borderId="14" xfId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wrapText="1"/>
    </xf>
    <xf numFmtId="0" fontId="5" fillId="3" borderId="6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center" vertical="center" wrapText="1"/>
    </xf>
    <xf numFmtId="9" fontId="5" fillId="3" borderId="1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right" vertical="center" wrapText="1"/>
    </xf>
    <xf numFmtId="43" fontId="5" fillId="0" borderId="6" xfId="1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9" fontId="2" fillId="3" borderId="14" xfId="2" applyFont="1" applyFill="1" applyBorder="1"/>
    <xf numFmtId="9" fontId="2" fillId="0" borderId="14" xfId="2" applyFont="1" applyBorder="1"/>
    <xf numFmtId="0" fontId="2" fillId="3" borderId="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right" vertical="center" wrapText="1"/>
    </xf>
    <xf numFmtId="0" fontId="5" fillId="3" borderId="15" xfId="0" applyFont="1" applyFill="1" applyBorder="1" applyAlignment="1">
      <alignment horizontal="right" vertical="center" wrapText="1"/>
    </xf>
    <xf numFmtId="43" fontId="5" fillId="3" borderId="15" xfId="0" applyNumberFormat="1" applyFont="1" applyFill="1" applyBorder="1" applyAlignment="1">
      <alignment horizontal="right" vertical="center" wrapText="1"/>
    </xf>
    <xf numFmtId="43" fontId="5" fillId="0" borderId="12" xfId="1" applyFont="1" applyFill="1" applyBorder="1" applyAlignment="1">
      <alignment horizontal="right" vertical="center" wrapText="1"/>
    </xf>
    <xf numFmtId="9" fontId="5" fillId="3" borderId="9" xfId="2" applyFont="1" applyFill="1" applyBorder="1" applyAlignment="1">
      <alignment horizontal="center"/>
    </xf>
    <xf numFmtId="9" fontId="5" fillId="3" borderId="11" xfId="2" applyFont="1" applyFill="1" applyBorder="1" applyAlignment="1">
      <alignment horizontal="center"/>
    </xf>
  </cellXfs>
  <cellStyles count="6">
    <cellStyle name="=C:\WINNT\SYSTEM32\COMMAND.COM" xfId="4"/>
    <cellStyle name="Millares" xfId="1" builtinId="3"/>
    <cellStyle name="Normal" xfId="0" builtinId="0"/>
    <cellStyle name="Normal 2" xfId="3"/>
    <cellStyle name="Normal 9" xfId="5"/>
    <cellStyle name="Porcentaje" xfId="2" builtinId="5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5" name="3 Conector recto"/>
        <xdr:cNvCxnSpPr/>
      </xdr:nvCxnSpPr>
      <xdr:spPr>
        <a:xfrm>
          <a:off x="247650" y="67532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6" name="10 Conector recto"/>
        <xdr:cNvCxnSpPr/>
      </xdr:nvCxnSpPr>
      <xdr:spPr>
        <a:xfrm>
          <a:off x="3486150" y="6753225"/>
          <a:ext cx="3533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9"/>
  <sheetViews>
    <sheetView showGridLines="0" tabSelected="1" view="pageBreakPreview" zoomScale="60" zoomScaleNormal="100" workbookViewId="0">
      <selection activeCell="A5" sqref="A1:XFD1048576"/>
    </sheetView>
  </sheetViews>
  <sheetFormatPr baseColWidth="10" defaultRowHeight="12.75" x14ac:dyDescent="0.2"/>
  <cols>
    <col min="1" max="1" width="2.140625" style="2" customWidth="1"/>
    <col min="2" max="3" width="3.7109375" style="8" customWidth="1"/>
    <col min="4" max="4" width="29.42578125" style="8" customWidth="1"/>
    <col min="5" max="5" width="12.7109375" style="8" customWidth="1"/>
    <col min="6" max="6" width="24.7109375" style="8" bestFit="1" customWidth="1"/>
    <col min="7" max="7" width="12.42578125" style="8" customWidth="1"/>
    <col min="8" max="8" width="13.85546875" style="8" bestFit="1" customWidth="1"/>
    <col min="9" max="9" width="14.42578125" style="8" bestFit="1" customWidth="1"/>
    <col min="10" max="10" width="13.85546875" style="8" bestFit="1" customWidth="1"/>
    <col min="11" max="11" width="15.28515625" style="8" bestFit="1" customWidth="1"/>
    <col min="12" max="12" width="12.7109375" style="8" customWidth="1"/>
    <col min="13" max="15" width="13.85546875" style="8" bestFit="1" customWidth="1"/>
    <col min="16" max="16" width="14.5703125" style="2" customWidth="1"/>
    <col min="17" max="17" width="14" style="8" customWidth="1"/>
    <col min="18" max="16384" width="11.42578125" style="8"/>
  </cols>
  <sheetData>
    <row r="1" spans="2:17" ht="7.5" customHeight="1" x14ac:dyDescent="0.2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17" ht="19.5" customHeight="1" x14ac:dyDescent="0.2">
      <c r="B2" s="6" t="s">
        <v>20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2:17" ht="19.5" customHeight="1" x14ac:dyDescent="0.2">
      <c r="B3" s="6" t="s">
        <v>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7" s="2" customFormat="1" ht="19.5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7" s="2" customFormat="1" x14ac:dyDescent="0.2">
      <c r="D5" s="1" t="s">
        <v>0</v>
      </c>
      <c r="E5" s="42" t="s">
        <v>1</v>
      </c>
      <c r="F5" s="42"/>
      <c r="G5" s="42"/>
      <c r="H5" s="42"/>
      <c r="I5" s="42"/>
      <c r="J5" s="42"/>
      <c r="K5" s="42"/>
      <c r="L5" s="42"/>
      <c r="M5" s="7"/>
    </row>
    <row r="6" spans="2:17" s="2" customFormat="1" ht="13.5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7" x14ac:dyDescent="0.2">
      <c r="B7" s="20" t="s">
        <v>21</v>
      </c>
      <c r="C7" s="29"/>
      <c r="D7" s="21"/>
      <c r="E7" s="43" t="s">
        <v>22</v>
      </c>
      <c r="F7" s="44"/>
      <c r="G7" s="43" t="s">
        <v>23</v>
      </c>
      <c r="H7" s="14" t="s">
        <v>10</v>
      </c>
      <c r="I7" s="15"/>
      <c r="J7" s="15"/>
      <c r="K7" s="15"/>
      <c r="L7" s="15"/>
      <c r="M7" s="15"/>
      <c r="N7" s="16"/>
      <c r="O7" s="17" t="s">
        <v>11</v>
      </c>
      <c r="P7" s="45" t="s">
        <v>24</v>
      </c>
      <c r="Q7" s="9"/>
    </row>
    <row r="8" spans="2:17" ht="25.5" x14ac:dyDescent="0.2">
      <c r="B8" s="22"/>
      <c r="C8" s="30"/>
      <c r="D8" s="23"/>
      <c r="E8" s="46"/>
      <c r="F8" s="47" t="s">
        <v>25</v>
      </c>
      <c r="G8" s="46"/>
      <c r="H8" s="18" t="s">
        <v>12</v>
      </c>
      <c r="I8" s="18" t="s">
        <v>13</v>
      </c>
      <c r="J8" s="18" t="s">
        <v>8</v>
      </c>
      <c r="K8" s="18" t="s">
        <v>14</v>
      </c>
      <c r="L8" s="18" t="s">
        <v>9</v>
      </c>
      <c r="M8" s="18" t="s">
        <v>15</v>
      </c>
      <c r="N8" s="18" t="s">
        <v>16</v>
      </c>
      <c r="O8" s="17"/>
      <c r="P8" s="48" t="s">
        <v>26</v>
      </c>
      <c r="Q8" s="48" t="s">
        <v>27</v>
      </c>
    </row>
    <row r="9" spans="2:17" x14ac:dyDescent="0.2">
      <c r="B9" s="24"/>
      <c r="C9" s="31"/>
      <c r="D9" s="25"/>
      <c r="E9" s="49"/>
      <c r="F9" s="50"/>
      <c r="G9" s="49"/>
      <c r="H9" s="18">
        <v>1</v>
      </c>
      <c r="I9" s="18">
        <v>2</v>
      </c>
      <c r="J9" s="18" t="s">
        <v>17</v>
      </c>
      <c r="K9" s="18">
        <v>4</v>
      </c>
      <c r="L9" s="18">
        <v>5</v>
      </c>
      <c r="M9" s="18">
        <v>6</v>
      </c>
      <c r="N9" s="18">
        <v>7</v>
      </c>
      <c r="O9" s="18" t="s">
        <v>18</v>
      </c>
      <c r="P9" s="51" t="s">
        <v>28</v>
      </c>
      <c r="Q9" s="51" t="s">
        <v>29</v>
      </c>
    </row>
    <row r="10" spans="2:17" ht="12.75" customHeight="1" x14ac:dyDescent="0.2">
      <c r="B10" s="32" t="s">
        <v>30</v>
      </c>
      <c r="C10" s="28"/>
      <c r="D10" s="33"/>
      <c r="E10" s="52"/>
      <c r="F10" s="52"/>
      <c r="G10" s="53"/>
      <c r="H10" s="54">
        <f>SUM(H11:H13)</f>
        <v>2327782.9299999997</v>
      </c>
      <c r="I10" s="54">
        <f>SUM(I11:I13)</f>
        <v>2209457.9099999997</v>
      </c>
      <c r="J10" s="54">
        <f t="shared" ref="J10:J26" si="0">H10+I10</f>
        <v>4537240.84</v>
      </c>
      <c r="K10" s="54">
        <f t="shared" ref="K10:Q10" si="1">SUM(K11:K13)</f>
        <v>0</v>
      </c>
      <c r="L10" s="54">
        <f t="shared" si="1"/>
        <v>9873.7999999999993</v>
      </c>
      <c r="M10" s="54">
        <f>SUM(M11:M13)</f>
        <v>3891036.79</v>
      </c>
      <c r="N10" s="54">
        <f t="shared" si="1"/>
        <v>3881162.99</v>
      </c>
      <c r="O10" s="55">
        <f>J10-M10</f>
        <v>646204.04999999981</v>
      </c>
      <c r="P10" s="54">
        <f t="shared" si="1"/>
        <v>6.6899691820428778E-3</v>
      </c>
      <c r="Q10" s="54">
        <f t="shared" si="1"/>
        <v>3.2283312521742069E-3</v>
      </c>
    </row>
    <row r="11" spans="2:17" s="56" customFormat="1" x14ac:dyDescent="0.2">
      <c r="B11" s="57"/>
      <c r="C11" s="58"/>
      <c r="D11" s="59"/>
      <c r="E11" s="60" t="s">
        <v>31</v>
      </c>
      <c r="F11" s="61" t="s">
        <v>32</v>
      </c>
      <c r="G11" s="62">
        <v>50000101</v>
      </c>
      <c r="H11" s="63">
        <v>361560.36</v>
      </c>
      <c r="I11" s="63">
        <f>536792.31-231598.06</f>
        <v>305194.25000000006</v>
      </c>
      <c r="J11" s="63">
        <f t="shared" si="0"/>
        <v>666754.6100000001</v>
      </c>
      <c r="K11" s="63">
        <v>0</v>
      </c>
      <c r="L11" s="63">
        <v>0</v>
      </c>
      <c r="M11" s="63">
        <v>638455.97</v>
      </c>
      <c r="N11" s="63">
        <v>638455.97</v>
      </c>
      <c r="O11" s="63">
        <f>J11-M11</f>
        <v>28298.64000000013</v>
      </c>
      <c r="P11" s="64">
        <f>L11/H11</f>
        <v>0</v>
      </c>
      <c r="Q11" s="64">
        <f>L11/J11</f>
        <v>0</v>
      </c>
    </row>
    <row r="12" spans="2:17" s="56" customFormat="1" x14ac:dyDescent="0.2">
      <c r="B12" s="57"/>
      <c r="C12" s="65"/>
      <c r="D12" s="66"/>
      <c r="E12" s="60" t="s">
        <v>33</v>
      </c>
      <c r="F12" s="61" t="s">
        <v>34</v>
      </c>
      <c r="G12" s="62">
        <v>50000101</v>
      </c>
      <c r="H12" s="67">
        <v>1517795.19</v>
      </c>
      <c r="I12" s="67">
        <f>2217198.32-541091.48</f>
        <v>1676106.8399999999</v>
      </c>
      <c r="J12" s="63">
        <f t="shared" si="0"/>
        <v>3193902.03</v>
      </c>
      <c r="K12" s="67">
        <v>0</v>
      </c>
      <c r="L12" s="67">
        <v>9756.2999999999993</v>
      </c>
      <c r="M12" s="67">
        <v>2607337.02</v>
      </c>
      <c r="N12" s="67">
        <v>2597580.7200000002</v>
      </c>
      <c r="O12" s="63">
        <f t="shared" ref="O12" si="2">J12-M12</f>
        <v>586565.00999999978</v>
      </c>
      <c r="P12" s="64">
        <f>L12/H12</f>
        <v>6.4279423628954835E-3</v>
      </c>
      <c r="Q12" s="64">
        <f t="shared" ref="Q12:Q40" si="3">L12/J12</f>
        <v>3.0546647669089586E-3</v>
      </c>
    </row>
    <row r="13" spans="2:17" s="56" customFormat="1" ht="13.5" customHeight="1" x14ac:dyDescent="0.2">
      <c r="B13" s="57"/>
      <c r="C13" s="65"/>
      <c r="D13" s="66"/>
      <c r="E13" s="60" t="s">
        <v>35</v>
      </c>
      <c r="F13" s="68" t="s">
        <v>36</v>
      </c>
      <c r="G13" s="62">
        <v>50000101</v>
      </c>
      <c r="H13" s="63">
        <v>448427.38</v>
      </c>
      <c r="I13" s="63">
        <f>342284.9-114128.08</f>
        <v>228156.82</v>
      </c>
      <c r="J13" s="63">
        <f t="shared" si="0"/>
        <v>676584.2</v>
      </c>
      <c r="K13" s="63">
        <v>0</v>
      </c>
      <c r="L13" s="63">
        <v>117.5</v>
      </c>
      <c r="M13" s="63">
        <v>645243.80000000005</v>
      </c>
      <c r="N13" s="63">
        <v>645126.30000000005</v>
      </c>
      <c r="O13" s="63">
        <f>J13-M13</f>
        <v>31340.399999999907</v>
      </c>
      <c r="P13" s="64">
        <f>L13/H13</f>
        <v>2.6202681914739461E-4</v>
      </c>
      <c r="Q13" s="64">
        <f t="shared" si="3"/>
        <v>1.7366648526524858E-4</v>
      </c>
    </row>
    <row r="14" spans="2:17" x14ac:dyDescent="0.2">
      <c r="B14" s="32" t="s">
        <v>37</v>
      </c>
      <c r="C14" s="28"/>
      <c r="D14" s="33"/>
      <c r="E14" s="69"/>
      <c r="F14" s="70"/>
      <c r="G14" s="69"/>
      <c r="H14" s="54">
        <f>SUM(H15:H21)</f>
        <v>11801709.16</v>
      </c>
      <c r="I14" s="54">
        <f>SUM(I15:I21)</f>
        <v>11282684.339999998</v>
      </c>
      <c r="J14" s="54">
        <f t="shared" si="0"/>
        <v>23084393.5</v>
      </c>
      <c r="K14" s="54">
        <f t="shared" ref="K14:Q14" si="4">SUM(K15:K20)</f>
        <v>0</v>
      </c>
      <c r="L14" s="54">
        <f t="shared" si="4"/>
        <v>204339.89</v>
      </c>
      <c r="M14" s="54">
        <f>SUM(M15:M21)</f>
        <v>18247819.099999998</v>
      </c>
      <c r="N14" s="54">
        <f>SUM(N15:N21)</f>
        <v>18043479.209999997</v>
      </c>
      <c r="O14" s="55">
        <f>J14-M14</f>
        <v>4836574.4000000022</v>
      </c>
      <c r="P14" s="71">
        <f>SUM(P15:P20)</f>
        <v>3.5885831248284449E-2</v>
      </c>
      <c r="Q14" s="54">
        <f t="shared" si="4"/>
        <v>2.0316915795192153E-2</v>
      </c>
    </row>
    <row r="15" spans="2:17" s="56" customFormat="1" ht="15" customHeight="1" x14ac:dyDescent="0.2">
      <c r="B15" s="57"/>
      <c r="C15" s="65"/>
      <c r="D15" s="66"/>
      <c r="E15" s="60" t="s">
        <v>38</v>
      </c>
      <c r="F15" s="61" t="s">
        <v>39</v>
      </c>
      <c r="G15" s="62">
        <v>50000201</v>
      </c>
      <c r="H15" s="63">
        <v>10216390.140000001</v>
      </c>
      <c r="I15" s="63">
        <f>14932574.48-5209470.46</f>
        <v>9723104.0199999996</v>
      </c>
      <c r="J15" s="63">
        <f t="shared" si="0"/>
        <v>19939494.16</v>
      </c>
      <c r="K15" s="63">
        <v>0</v>
      </c>
      <c r="L15" s="63">
        <v>196873.89</v>
      </c>
      <c r="M15" s="63">
        <v>15410321.810000001</v>
      </c>
      <c r="N15" s="63">
        <v>15213447.92</v>
      </c>
      <c r="O15" s="63">
        <f>J15-M15</f>
        <v>4529172.3499999996</v>
      </c>
      <c r="P15" s="64">
        <f t="shared" ref="P15:P20" si="5">L15/H15</f>
        <v>1.9270396617801833E-2</v>
      </c>
      <c r="Q15" s="64">
        <f t="shared" si="3"/>
        <v>9.8735649169547444E-3</v>
      </c>
    </row>
    <row r="16" spans="2:17" s="56" customFormat="1" ht="15" customHeight="1" x14ac:dyDescent="0.2">
      <c r="B16" s="57"/>
      <c r="C16" s="65"/>
      <c r="D16" s="66"/>
      <c r="E16" s="60" t="s">
        <v>40</v>
      </c>
      <c r="F16" s="61" t="s">
        <v>41</v>
      </c>
      <c r="G16" s="62">
        <v>50000201</v>
      </c>
      <c r="H16" s="63">
        <v>329841.24</v>
      </c>
      <c r="I16" s="63">
        <f>297466.69-50054.19</f>
        <v>247412.5</v>
      </c>
      <c r="J16" s="63">
        <f t="shared" si="0"/>
        <v>577253.74</v>
      </c>
      <c r="K16" s="63">
        <v>0</v>
      </c>
      <c r="L16" s="63">
        <v>0</v>
      </c>
      <c r="M16" s="63">
        <v>497570.25</v>
      </c>
      <c r="N16" s="63">
        <v>497570.25</v>
      </c>
      <c r="O16" s="63">
        <f>J16-M16</f>
        <v>79683.489999999991</v>
      </c>
      <c r="P16" s="64">
        <f t="shared" si="5"/>
        <v>0</v>
      </c>
      <c r="Q16" s="64">
        <f t="shared" si="3"/>
        <v>0</v>
      </c>
    </row>
    <row r="17" spans="2:17" s="56" customFormat="1" ht="15" customHeight="1" x14ac:dyDescent="0.2">
      <c r="B17" s="57"/>
      <c r="C17" s="65"/>
      <c r="D17" s="66"/>
      <c r="E17" s="60" t="s">
        <v>42</v>
      </c>
      <c r="F17" s="61" t="s">
        <v>43</v>
      </c>
      <c r="G17" s="62">
        <v>50000201</v>
      </c>
      <c r="H17" s="63">
        <v>195388.1</v>
      </c>
      <c r="I17" s="63">
        <f>162509.4-121295.54</f>
        <v>41213.86</v>
      </c>
      <c r="J17" s="63">
        <f t="shared" si="0"/>
        <v>236601.96000000002</v>
      </c>
      <c r="K17" s="63">
        <v>0</v>
      </c>
      <c r="L17" s="63">
        <v>0</v>
      </c>
      <c r="M17" s="63">
        <v>161655.43</v>
      </c>
      <c r="N17" s="63">
        <v>161655.43</v>
      </c>
      <c r="O17" s="63">
        <f>J17-M17</f>
        <v>74946.530000000028</v>
      </c>
      <c r="P17" s="64">
        <f t="shared" si="5"/>
        <v>0</v>
      </c>
      <c r="Q17" s="64">
        <f t="shared" si="3"/>
        <v>0</v>
      </c>
    </row>
    <row r="18" spans="2:17" s="56" customFormat="1" ht="15" customHeight="1" x14ac:dyDescent="0.2">
      <c r="B18" s="57"/>
      <c r="C18" s="65"/>
      <c r="D18" s="66"/>
      <c r="E18" s="60" t="s">
        <v>44</v>
      </c>
      <c r="F18" s="61" t="s">
        <v>45</v>
      </c>
      <c r="G18" s="62">
        <v>50000201</v>
      </c>
      <c r="H18" s="63">
        <v>449341.24</v>
      </c>
      <c r="I18" s="63">
        <f>428349.4-162786</f>
        <v>265563.40000000002</v>
      </c>
      <c r="J18" s="63">
        <f t="shared" si="0"/>
        <v>714904.64</v>
      </c>
      <c r="K18" s="63">
        <v>0</v>
      </c>
      <c r="L18" s="63">
        <v>7466</v>
      </c>
      <c r="M18" s="63">
        <v>660058.92000000004</v>
      </c>
      <c r="N18" s="63">
        <v>652592.92000000004</v>
      </c>
      <c r="O18" s="63">
        <f t="shared" ref="O18:O30" si="6">J18-M18</f>
        <v>54845.719999999972</v>
      </c>
      <c r="P18" s="64">
        <f t="shared" si="5"/>
        <v>1.6615434630482616E-2</v>
      </c>
      <c r="Q18" s="64">
        <f t="shared" si="3"/>
        <v>1.044335087823741E-2</v>
      </c>
    </row>
    <row r="19" spans="2:17" s="56" customFormat="1" ht="15" customHeight="1" x14ac:dyDescent="0.2">
      <c r="B19" s="57"/>
      <c r="C19" s="65"/>
      <c r="D19" s="66"/>
      <c r="E19" s="60" t="s">
        <v>46</v>
      </c>
      <c r="F19" s="61" t="s">
        <v>47</v>
      </c>
      <c r="G19" s="62">
        <v>50000201</v>
      </c>
      <c r="H19" s="63">
        <v>477360.34</v>
      </c>
      <c r="I19" s="63">
        <f>319020.16-280627.13</f>
        <v>38393.02999999997</v>
      </c>
      <c r="J19" s="63">
        <f t="shared" si="0"/>
        <v>515753.37</v>
      </c>
      <c r="K19" s="63">
        <v>0</v>
      </c>
      <c r="L19" s="63">
        <v>0</v>
      </c>
      <c r="M19" s="63">
        <v>423894.7</v>
      </c>
      <c r="N19" s="63">
        <v>423894.7</v>
      </c>
      <c r="O19" s="63">
        <f t="shared" si="6"/>
        <v>91858.669999999984</v>
      </c>
      <c r="P19" s="64">
        <f t="shared" si="5"/>
        <v>0</v>
      </c>
      <c r="Q19" s="64">
        <f t="shared" si="3"/>
        <v>0</v>
      </c>
    </row>
    <row r="20" spans="2:17" s="56" customFormat="1" ht="15" customHeight="1" x14ac:dyDescent="0.2">
      <c r="B20" s="57"/>
      <c r="C20" s="65"/>
      <c r="D20" s="66"/>
      <c r="E20" s="60" t="s">
        <v>48</v>
      </c>
      <c r="F20" s="61" t="s">
        <v>49</v>
      </c>
      <c r="G20" s="62">
        <v>50000201</v>
      </c>
      <c r="H20" s="63">
        <v>133388.1</v>
      </c>
      <c r="I20" s="63">
        <f>250655.79-11070.76</f>
        <v>239585.03</v>
      </c>
      <c r="J20" s="63">
        <f t="shared" si="0"/>
        <v>372973.13</v>
      </c>
      <c r="K20" s="63">
        <v>0</v>
      </c>
      <c r="L20" s="63">
        <v>0</v>
      </c>
      <c r="M20" s="63">
        <v>366905.49</v>
      </c>
      <c r="N20" s="63">
        <v>366905.49</v>
      </c>
      <c r="O20" s="63">
        <f t="shared" si="6"/>
        <v>6067.640000000014</v>
      </c>
      <c r="P20" s="64">
        <f t="shared" si="5"/>
        <v>0</v>
      </c>
      <c r="Q20" s="64">
        <f t="shared" si="3"/>
        <v>0</v>
      </c>
    </row>
    <row r="21" spans="2:17" s="56" customFormat="1" ht="25.5" x14ac:dyDescent="0.2">
      <c r="B21" s="57"/>
      <c r="C21" s="72"/>
      <c r="D21" s="73"/>
      <c r="E21" s="60" t="s">
        <v>50</v>
      </c>
      <c r="F21" s="61" t="s">
        <v>51</v>
      </c>
      <c r="G21" s="62">
        <v>50000201</v>
      </c>
      <c r="H21" s="63">
        <v>0</v>
      </c>
      <c r="I21" s="63">
        <f>4236312.5-3508900</f>
        <v>727412.5</v>
      </c>
      <c r="J21" s="63">
        <f t="shared" si="0"/>
        <v>727412.5</v>
      </c>
      <c r="K21" s="63">
        <v>0</v>
      </c>
      <c r="L21" s="63">
        <v>0</v>
      </c>
      <c r="M21" s="63">
        <v>727412.5</v>
      </c>
      <c r="N21" s="63">
        <v>727412.5</v>
      </c>
      <c r="O21" s="63">
        <f t="shared" si="6"/>
        <v>0</v>
      </c>
      <c r="P21" s="64">
        <v>0</v>
      </c>
      <c r="Q21" s="64">
        <f t="shared" si="3"/>
        <v>0</v>
      </c>
    </row>
    <row r="22" spans="2:17" x14ac:dyDescent="0.2">
      <c r="B22" s="32" t="s">
        <v>52</v>
      </c>
      <c r="C22" s="28"/>
      <c r="D22" s="33"/>
      <c r="E22" s="52"/>
      <c r="F22" s="74"/>
      <c r="G22" s="53"/>
      <c r="H22" s="54">
        <f>SUM(H23:H26)</f>
        <v>2832464.71</v>
      </c>
      <c r="I22" s="54">
        <f t="shared" ref="I22:N22" si="7">SUM(I23:I26)</f>
        <v>555158.08000000007</v>
      </c>
      <c r="J22" s="54">
        <f t="shared" si="0"/>
        <v>3387622.79</v>
      </c>
      <c r="K22" s="54">
        <f t="shared" si="7"/>
        <v>0</v>
      </c>
      <c r="L22" s="54">
        <f t="shared" si="7"/>
        <v>2123.75</v>
      </c>
      <c r="M22" s="54">
        <f t="shared" si="7"/>
        <v>2041270.85</v>
      </c>
      <c r="N22" s="54">
        <f t="shared" si="7"/>
        <v>2039147.1</v>
      </c>
      <c r="O22" s="55">
        <f t="shared" si="6"/>
        <v>1346351.94</v>
      </c>
      <c r="P22" s="71">
        <f>SUM(P23:P26)</f>
        <v>3.4210128524090242E-3</v>
      </c>
      <c r="Q22" s="54">
        <f t="shared" ref="Q22" si="8">SUM(Q23:Q28)</f>
        <v>0.15619002075045779</v>
      </c>
    </row>
    <row r="23" spans="2:17" s="56" customFormat="1" ht="12.75" customHeight="1" x14ac:dyDescent="0.2">
      <c r="B23" s="57"/>
      <c r="C23" s="65"/>
      <c r="D23" s="66"/>
      <c r="E23" s="60" t="s">
        <v>53</v>
      </c>
      <c r="F23" s="61" t="s">
        <v>54</v>
      </c>
      <c r="G23" s="60">
        <v>50000301</v>
      </c>
      <c r="H23" s="63">
        <v>307588.09999999998</v>
      </c>
      <c r="I23" s="63">
        <f>135171.71-135703.96</f>
        <v>-532.25</v>
      </c>
      <c r="J23" s="63">
        <f t="shared" si="0"/>
        <v>307055.84999999998</v>
      </c>
      <c r="K23" s="63">
        <v>0</v>
      </c>
      <c r="L23" s="63">
        <v>0</v>
      </c>
      <c r="M23" s="63">
        <v>197436.34</v>
      </c>
      <c r="N23" s="63">
        <v>197436.34</v>
      </c>
      <c r="O23" s="63">
        <f t="shared" si="6"/>
        <v>109619.50999999998</v>
      </c>
      <c r="P23" s="64">
        <f t="shared" ref="P23:P40" si="9">L23/H23</f>
        <v>0</v>
      </c>
      <c r="Q23" s="64">
        <f t="shared" si="3"/>
        <v>0</v>
      </c>
    </row>
    <row r="24" spans="2:17" s="56" customFormat="1" ht="25.5" x14ac:dyDescent="0.2">
      <c r="B24" s="57"/>
      <c r="C24" s="65"/>
      <c r="D24" s="66"/>
      <c r="E24" s="60" t="s">
        <v>55</v>
      </c>
      <c r="F24" s="61" t="s">
        <v>56</v>
      </c>
      <c r="G24" s="60">
        <v>50000301</v>
      </c>
      <c r="H24" s="63">
        <v>1701172.19</v>
      </c>
      <c r="I24" s="75">
        <f>334152.03-147353.42</f>
        <v>186798.61000000002</v>
      </c>
      <c r="J24" s="63">
        <f t="shared" si="0"/>
        <v>1887970.8</v>
      </c>
      <c r="K24" s="75">
        <v>0</v>
      </c>
      <c r="L24" s="76">
        <v>0</v>
      </c>
      <c r="M24" s="75">
        <v>707709.4</v>
      </c>
      <c r="N24" s="75">
        <v>707709.4</v>
      </c>
      <c r="O24" s="63">
        <f t="shared" si="6"/>
        <v>1180261.3999999999</v>
      </c>
      <c r="P24" s="64">
        <f t="shared" si="9"/>
        <v>0</v>
      </c>
      <c r="Q24" s="64">
        <f t="shared" si="3"/>
        <v>0</v>
      </c>
    </row>
    <row r="25" spans="2:17" s="56" customFormat="1" ht="25.5" x14ac:dyDescent="0.2">
      <c r="B25" s="57"/>
      <c r="C25" s="65"/>
      <c r="D25" s="66"/>
      <c r="E25" s="60" t="s">
        <v>57</v>
      </c>
      <c r="F25" s="61" t="s">
        <v>58</v>
      </c>
      <c r="G25" s="60">
        <v>50000301</v>
      </c>
      <c r="H25" s="63">
        <v>620795.68000000005</v>
      </c>
      <c r="I25" s="63">
        <f>607000.3-167574.28</f>
        <v>439426.02</v>
      </c>
      <c r="J25" s="63">
        <f t="shared" si="0"/>
        <v>1060221.7000000002</v>
      </c>
      <c r="K25" s="63">
        <v>0</v>
      </c>
      <c r="L25" s="63">
        <v>2123.75</v>
      </c>
      <c r="M25" s="63">
        <v>1008595.01</v>
      </c>
      <c r="N25" s="63">
        <v>1006471.26</v>
      </c>
      <c r="O25" s="63">
        <f t="shared" si="6"/>
        <v>51626.690000000177</v>
      </c>
      <c r="P25" s="64">
        <f t="shared" si="9"/>
        <v>3.4210128524090242E-3</v>
      </c>
      <c r="Q25" s="64">
        <f t="shared" si="3"/>
        <v>2.0031187816661362E-3</v>
      </c>
    </row>
    <row r="26" spans="2:17" s="56" customFormat="1" x14ac:dyDescent="0.2">
      <c r="B26" s="57"/>
      <c r="C26" s="65"/>
      <c r="D26" s="66"/>
      <c r="E26" s="60" t="s">
        <v>59</v>
      </c>
      <c r="F26" s="61" t="s">
        <v>60</v>
      </c>
      <c r="G26" s="60">
        <v>50000301</v>
      </c>
      <c r="H26" s="63">
        <v>202908.74</v>
      </c>
      <c r="I26" s="63">
        <f>73198.5-143732.8</f>
        <v>-70534.299999999988</v>
      </c>
      <c r="J26" s="63">
        <f t="shared" si="0"/>
        <v>132374.44</v>
      </c>
      <c r="K26" s="63">
        <v>0</v>
      </c>
      <c r="L26" s="63">
        <v>0</v>
      </c>
      <c r="M26" s="63">
        <v>127530.1</v>
      </c>
      <c r="N26" s="63">
        <v>127530.1</v>
      </c>
      <c r="O26" s="63">
        <f t="shared" si="6"/>
        <v>4844.3399999999965</v>
      </c>
      <c r="P26" s="64">
        <f t="shared" si="9"/>
        <v>0</v>
      </c>
      <c r="Q26" s="64">
        <f t="shared" si="3"/>
        <v>0</v>
      </c>
    </row>
    <row r="27" spans="2:17" x14ac:dyDescent="0.2">
      <c r="B27" s="32" t="s">
        <v>61</v>
      </c>
      <c r="C27" s="28"/>
      <c r="D27" s="33"/>
      <c r="E27" s="52"/>
      <c r="F27" s="74"/>
      <c r="G27" s="53"/>
      <c r="H27" s="54">
        <f>SUM(H28:H30)</f>
        <v>5836490.2800000003</v>
      </c>
      <c r="I27" s="54">
        <f t="shared" ref="I27:Q27" si="10">SUM(I28:I30)</f>
        <v>4156732.3500000006</v>
      </c>
      <c r="J27" s="54">
        <f t="shared" si="10"/>
        <v>9993222.6300000008</v>
      </c>
      <c r="K27" s="54">
        <f t="shared" si="10"/>
        <v>0</v>
      </c>
      <c r="L27" s="54">
        <f t="shared" si="10"/>
        <v>470000.16000000003</v>
      </c>
      <c r="M27" s="54">
        <f t="shared" si="10"/>
        <v>7575777.9100000001</v>
      </c>
      <c r="N27" s="54">
        <f t="shared" si="10"/>
        <v>7105777.75</v>
      </c>
      <c r="O27" s="55">
        <f t="shared" si="6"/>
        <v>2417444.7200000007</v>
      </c>
      <c r="P27" s="71">
        <f>SUM(P28:P30)</f>
        <v>0.20133390534113788</v>
      </c>
      <c r="Q27" s="54">
        <f t="shared" si="10"/>
        <v>0.11544071123574061</v>
      </c>
    </row>
    <row r="28" spans="2:17" s="56" customFormat="1" x14ac:dyDescent="0.2">
      <c r="B28" s="57"/>
      <c r="C28" s="58"/>
      <c r="D28" s="59"/>
      <c r="E28" s="60" t="s">
        <v>31</v>
      </c>
      <c r="F28" s="61" t="s">
        <v>32</v>
      </c>
      <c r="G28" s="62">
        <v>50000401</v>
      </c>
      <c r="H28" s="63">
        <v>3829958.08</v>
      </c>
      <c r="I28" s="75">
        <f>4772832.73-1925479.18</f>
        <v>2847353.5500000007</v>
      </c>
      <c r="J28" s="75">
        <f>H28+I28</f>
        <v>6677311.6300000008</v>
      </c>
      <c r="K28" s="75">
        <v>0</v>
      </c>
      <c r="L28" s="75">
        <v>258720.39</v>
      </c>
      <c r="M28" s="75">
        <v>4593566.53</v>
      </c>
      <c r="N28" s="75">
        <v>4334846.1399999997</v>
      </c>
      <c r="O28" s="63">
        <f t="shared" si="6"/>
        <v>2083745.1000000006</v>
      </c>
      <c r="P28" s="64">
        <f t="shared" si="9"/>
        <v>6.755175503121956E-2</v>
      </c>
      <c r="Q28" s="64">
        <f t="shared" si="3"/>
        <v>3.874619073305105E-2</v>
      </c>
    </row>
    <row r="29" spans="2:17" s="56" customFormat="1" ht="25.5" x14ac:dyDescent="0.2">
      <c r="B29" s="57"/>
      <c r="C29" s="65"/>
      <c r="D29" s="66"/>
      <c r="E29" s="60" t="s">
        <v>42</v>
      </c>
      <c r="F29" s="61" t="s">
        <v>43</v>
      </c>
      <c r="G29" s="62">
        <v>50000401</v>
      </c>
      <c r="H29" s="63">
        <v>427249.99</v>
      </c>
      <c r="I29" s="62">
        <f>296595.94-162757.16</f>
        <v>133838.78</v>
      </c>
      <c r="J29" s="75">
        <f>H29+I29</f>
        <v>561088.77</v>
      </c>
      <c r="K29" s="63">
        <v>0</v>
      </c>
      <c r="L29" s="63">
        <v>0</v>
      </c>
      <c r="M29" s="63">
        <v>540464.13</v>
      </c>
      <c r="N29" s="63">
        <v>540464.13</v>
      </c>
      <c r="O29" s="63">
        <f t="shared" si="6"/>
        <v>20624.640000000014</v>
      </c>
      <c r="P29" s="64">
        <f t="shared" si="9"/>
        <v>0</v>
      </c>
      <c r="Q29" s="64">
        <f t="shared" si="3"/>
        <v>0</v>
      </c>
    </row>
    <row r="30" spans="2:17" s="56" customFormat="1" x14ac:dyDescent="0.2">
      <c r="B30" s="57"/>
      <c r="C30" s="65"/>
      <c r="D30" s="66"/>
      <c r="E30" s="60" t="s">
        <v>62</v>
      </c>
      <c r="F30" s="61" t="s">
        <v>63</v>
      </c>
      <c r="G30" s="62">
        <v>50000401</v>
      </c>
      <c r="H30" s="63">
        <v>1579282.21</v>
      </c>
      <c r="I30" s="63">
        <f>2413568.99-1238028.97</f>
        <v>1175540.0200000003</v>
      </c>
      <c r="J30" s="75">
        <f>H30+I30</f>
        <v>2754822.2300000004</v>
      </c>
      <c r="K30" s="63">
        <v>0</v>
      </c>
      <c r="L30" s="63">
        <v>211279.77</v>
      </c>
      <c r="M30" s="63">
        <v>2441747.25</v>
      </c>
      <c r="N30" s="63">
        <v>2230467.48</v>
      </c>
      <c r="O30" s="63">
        <f t="shared" si="6"/>
        <v>313074.98000000045</v>
      </c>
      <c r="P30" s="64">
        <f t="shared" si="9"/>
        <v>0.13378215030991833</v>
      </c>
      <c r="Q30" s="64">
        <f t="shared" si="3"/>
        <v>7.6694520502689559E-2</v>
      </c>
    </row>
    <row r="31" spans="2:17" ht="13.5" hidden="1" customHeight="1" x14ac:dyDescent="0.2">
      <c r="B31" s="26"/>
      <c r="C31" s="34"/>
      <c r="D31" s="35"/>
      <c r="E31" s="69">
        <f>SUM(E32:E35)</f>
        <v>0</v>
      </c>
      <c r="F31" s="69"/>
      <c r="G31" s="69">
        <f>SUM(G32:G35)</f>
        <v>0</v>
      </c>
      <c r="H31" s="77"/>
      <c r="I31" s="69"/>
      <c r="J31" s="69"/>
      <c r="K31" s="69"/>
      <c r="L31" s="69">
        <f t="shared" ref="L31:N31" si="11">SUM(L32:L35)</f>
        <v>0</v>
      </c>
      <c r="M31" s="69"/>
      <c r="N31" s="69">
        <f t="shared" si="11"/>
        <v>0</v>
      </c>
      <c r="O31" s="77">
        <f t="shared" ref="O31:O40" si="12">+H31-L31</f>
        <v>0</v>
      </c>
      <c r="P31" s="78" t="e">
        <f t="shared" si="9"/>
        <v>#DIV/0!</v>
      </c>
      <c r="Q31" s="79" t="e">
        <f t="shared" si="3"/>
        <v>#DIV/0!</v>
      </c>
    </row>
    <row r="32" spans="2:17" hidden="1" x14ac:dyDescent="0.2">
      <c r="B32" s="26"/>
      <c r="C32" s="80"/>
      <c r="D32" s="81"/>
      <c r="E32" s="52"/>
      <c r="F32" s="52"/>
      <c r="G32" s="53"/>
      <c r="H32" s="53"/>
      <c r="I32" s="53"/>
      <c r="J32" s="53"/>
      <c r="K32" s="53"/>
      <c r="L32" s="53"/>
      <c r="M32" s="53"/>
      <c r="N32" s="53"/>
      <c r="O32" s="53">
        <f t="shared" si="12"/>
        <v>0</v>
      </c>
      <c r="P32" s="78" t="e">
        <f t="shared" si="9"/>
        <v>#DIV/0!</v>
      </c>
      <c r="Q32" s="79" t="e">
        <f t="shared" si="3"/>
        <v>#DIV/0!</v>
      </c>
    </row>
    <row r="33" spans="1:17" hidden="1" x14ac:dyDescent="0.2">
      <c r="B33" s="26"/>
      <c r="C33" s="19"/>
      <c r="D33" s="27"/>
      <c r="E33" s="52"/>
      <c r="F33" s="52"/>
      <c r="G33" s="53"/>
      <c r="H33" s="53"/>
      <c r="I33" s="53"/>
      <c r="J33" s="53"/>
      <c r="K33" s="53"/>
      <c r="L33" s="53"/>
      <c r="M33" s="53"/>
      <c r="N33" s="53"/>
      <c r="O33" s="53">
        <f t="shared" si="12"/>
        <v>0</v>
      </c>
      <c r="P33" s="78" t="e">
        <f t="shared" si="9"/>
        <v>#DIV/0!</v>
      </c>
      <c r="Q33" s="79" t="e">
        <f t="shared" si="3"/>
        <v>#DIV/0!</v>
      </c>
    </row>
    <row r="34" spans="1:17" hidden="1" x14ac:dyDescent="0.2">
      <c r="B34" s="26"/>
      <c r="C34" s="19"/>
      <c r="D34" s="27"/>
      <c r="E34" s="52"/>
      <c r="F34" s="52"/>
      <c r="G34" s="53"/>
      <c r="H34" s="53"/>
      <c r="I34" s="53"/>
      <c r="J34" s="53"/>
      <c r="K34" s="53"/>
      <c r="L34" s="53"/>
      <c r="M34" s="53"/>
      <c r="N34" s="53"/>
      <c r="O34" s="53">
        <f t="shared" si="12"/>
        <v>0</v>
      </c>
      <c r="P34" s="78" t="e">
        <f t="shared" si="9"/>
        <v>#DIV/0!</v>
      </c>
      <c r="Q34" s="79" t="e">
        <f t="shared" si="3"/>
        <v>#DIV/0!</v>
      </c>
    </row>
    <row r="35" spans="1:17" ht="12.75" hidden="1" customHeight="1" x14ac:dyDescent="0.2">
      <c r="B35" s="26"/>
      <c r="C35" s="19"/>
      <c r="D35" s="27"/>
      <c r="E35" s="52"/>
      <c r="F35" s="52"/>
      <c r="G35" s="53"/>
      <c r="H35" s="53"/>
      <c r="I35" s="53"/>
      <c r="J35" s="53"/>
      <c r="K35" s="53"/>
      <c r="L35" s="53"/>
      <c r="M35" s="53"/>
      <c r="N35" s="53"/>
      <c r="O35" s="53">
        <f t="shared" si="12"/>
        <v>0</v>
      </c>
      <c r="P35" s="78" t="e">
        <f t="shared" si="9"/>
        <v>#DIV/0!</v>
      </c>
      <c r="Q35" s="79" t="e">
        <f t="shared" si="3"/>
        <v>#DIV/0!</v>
      </c>
    </row>
    <row r="36" spans="1:17" hidden="1" x14ac:dyDescent="0.2">
      <c r="B36" s="26"/>
      <c r="C36" s="34"/>
      <c r="D36" s="35"/>
      <c r="E36" s="69">
        <f>SUM(E37)</f>
        <v>0</v>
      </c>
      <c r="F36" s="69"/>
      <c r="G36" s="69">
        <f>SUM(G37)</f>
        <v>0</v>
      </c>
      <c r="H36" s="77"/>
      <c r="I36" s="69"/>
      <c r="J36" s="69"/>
      <c r="K36" s="69"/>
      <c r="L36" s="69">
        <f t="shared" ref="L36:N36" si="13">SUM(L37)</f>
        <v>0</v>
      </c>
      <c r="M36" s="69"/>
      <c r="N36" s="69">
        <f t="shared" si="13"/>
        <v>0</v>
      </c>
      <c r="O36" s="77">
        <f t="shared" si="12"/>
        <v>0</v>
      </c>
      <c r="P36" s="78" t="e">
        <f t="shared" si="9"/>
        <v>#DIV/0!</v>
      </c>
      <c r="Q36" s="79" t="e">
        <f t="shared" si="3"/>
        <v>#DIV/0!</v>
      </c>
    </row>
    <row r="37" spans="1:17" ht="12.75" hidden="1" customHeight="1" x14ac:dyDescent="0.2">
      <c r="B37" s="26"/>
      <c r="C37" s="19"/>
      <c r="D37" s="27"/>
      <c r="E37" s="52"/>
      <c r="F37" s="52"/>
      <c r="G37" s="53"/>
      <c r="H37" s="53"/>
      <c r="I37" s="53"/>
      <c r="J37" s="53"/>
      <c r="K37" s="53"/>
      <c r="L37" s="53"/>
      <c r="M37" s="53"/>
      <c r="N37" s="53"/>
      <c r="O37" s="53">
        <f t="shared" si="12"/>
        <v>0</v>
      </c>
      <c r="P37" s="78" t="e">
        <f t="shared" si="9"/>
        <v>#DIV/0!</v>
      </c>
      <c r="Q37" s="79" t="e">
        <f t="shared" si="3"/>
        <v>#DIV/0!</v>
      </c>
    </row>
    <row r="38" spans="1:17" ht="12.75" hidden="1" customHeight="1" x14ac:dyDescent="0.2">
      <c r="B38" s="32"/>
      <c r="C38" s="28"/>
      <c r="D38" s="33"/>
      <c r="E38" s="52"/>
      <c r="F38" s="52"/>
      <c r="G38" s="53"/>
      <c r="H38" s="53"/>
      <c r="I38" s="53"/>
      <c r="J38" s="53"/>
      <c r="K38" s="53"/>
      <c r="L38" s="53"/>
      <c r="M38" s="53"/>
      <c r="N38" s="53"/>
      <c r="O38" s="53">
        <f t="shared" si="12"/>
        <v>0</v>
      </c>
      <c r="P38" s="78" t="e">
        <f t="shared" si="9"/>
        <v>#DIV/0!</v>
      </c>
      <c r="Q38" s="79" t="e">
        <f t="shared" si="3"/>
        <v>#DIV/0!</v>
      </c>
    </row>
    <row r="39" spans="1:17" ht="12.75" hidden="1" customHeight="1" x14ac:dyDescent="0.2">
      <c r="B39" s="32"/>
      <c r="C39" s="28"/>
      <c r="D39" s="33"/>
      <c r="E39" s="52"/>
      <c r="F39" s="52"/>
      <c r="G39" s="53"/>
      <c r="H39" s="53"/>
      <c r="I39" s="53"/>
      <c r="J39" s="53"/>
      <c r="K39" s="53"/>
      <c r="L39" s="53"/>
      <c r="M39" s="53"/>
      <c r="N39" s="53"/>
      <c r="O39" s="53">
        <f t="shared" si="12"/>
        <v>0</v>
      </c>
      <c r="P39" s="78" t="e">
        <f t="shared" si="9"/>
        <v>#DIV/0!</v>
      </c>
      <c r="Q39" s="79" t="e">
        <f t="shared" si="3"/>
        <v>#DIV/0!</v>
      </c>
    </row>
    <row r="40" spans="1:17" hidden="1" x14ac:dyDescent="0.2">
      <c r="B40" s="32"/>
      <c r="C40" s="28"/>
      <c r="D40" s="33"/>
      <c r="E40" s="52"/>
      <c r="F40" s="52"/>
      <c r="G40" s="53"/>
      <c r="H40" s="53"/>
      <c r="I40" s="53"/>
      <c r="J40" s="53"/>
      <c r="K40" s="53"/>
      <c r="L40" s="53"/>
      <c r="M40" s="53"/>
      <c r="N40" s="53"/>
      <c r="O40" s="53">
        <f t="shared" si="12"/>
        <v>0</v>
      </c>
      <c r="P40" s="78" t="e">
        <f t="shared" si="9"/>
        <v>#DIV/0!</v>
      </c>
      <c r="Q40" s="79" t="e">
        <f t="shared" si="3"/>
        <v>#DIV/0!</v>
      </c>
    </row>
    <row r="41" spans="1:17" x14ac:dyDescent="0.2">
      <c r="B41" s="36"/>
      <c r="C41" s="37"/>
      <c r="D41" s="38"/>
      <c r="E41" s="82"/>
      <c r="F41" s="82"/>
      <c r="G41" s="83"/>
      <c r="H41" s="83"/>
      <c r="I41" s="83"/>
      <c r="J41" s="83"/>
      <c r="K41" s="83"/>
      <c r="L41" s="83"/>
      <c r="M41" s="83"/>
      <c r="N41" s="83"/>
      <c r="O41" s="83"/>
      <c r="P41" s="78"/>
      <c r="Q41" s="79"/>
    </row>
    <row r="42" spans="1:17" s="13" customFormat="1" x14ac:dyDescent="0.2">
      <c r="A42" s="12"/>
      <c r="B42" s="39"/>
      <c r="C42" s="40" t="s">
        <v>19</v>
      </c>
      <c r="D42" s="41"/>
      <c r="E42" s="84">
        <v>0</v>
      </c>
      <c r="F42" s="84">
        <v>0</v>
      </c>
      <c r="G42" s="84">
        <v>0</v>
      </c>
      <c r="H42" s="85">
        <f>H10+H14+H22+H27</f>
        <v>22798447.080000002</v>
      </c>
      <c r="I42" s="85">
        <f>I10+I14+I22+I27</f>
        <v>18204032.68</v>
      </c>
      <c r="J42" s="85">
        <f>H42+I42</f>
        <v>41002479.760000005</v>
      </c>
      <c r="K42" s="85">
        <f t="shared" ref="K42:N42" si="14">K10+K14+K22+K27</f>
        <v>0</v>
      </c>
      <c r="L42" s="85">
        <f t="shared" si="14"/>
        <v>686337.60000000009</v>
      </c>
      <c r="M42" s="85">
        <f>M10+M14+M22+M27</f>
        <v>31755904.649999999</v>
      </c>
      <c r="N42" s="85">
        <f t="shared" si="14"/>
        <v>31069567.049999997</v>
      </c>
      <c r="O42" s="86">
        <f>J42-M42</f>
        <v>9246575.1100000069</v>
      </c>
      <c r="P42" s="87"/>
      <c r="Q42" s="88"/>
    </row>
    <row r="43" spans="1:17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7" x14ac:dyDescent="0.2">
      <c r="B44" s="11" t="s">
        <v>2</v>
      </c>
      <c r="G44" s="2"/>
      <c r="H44" s="2"/>
      <c r="I44" s="2"/>
      <c r="J44" s="2"/>
      <c r="K44" s="2"/>
      <c r="L44" s="2"/>
      <c r="M44" s="2"/>
      <c r="N44" s="2"/>
      <c r="O44" s="2"/>
    </row>
    <row r="47" spans="1:17" x14ac:dyDescent="0.2">
      <c r="D47" s="10"/>
      <c r="E47" s="10"/>
    </row>
    <row r="48" spans="1:17" x14ac:dyDescent="0.2">
      <c r="D48" s="5" t="s">
        <v>3</v>
      </c>
      <c r="H48" s="3" t="s">
        <v>4</v>
      </c>
      <c r="I48" s="3"/>
      <c r="J48" s="3"/>
      <c r="K48" s="3"/>
      <c r="L48" s="3"/>
      <c r="M48" s="3"/>
      <c r="N48" s="3"/>
      <c r="O48" s="3"/>
    </row>
    <row r="49" spans="4:15" x14ac:dyDescent="0.2">
      <c r="D49" s="5" t="s">
        <v>5</v>
      </c>
      <c r="H49" s="4" t="s">
        <v>6</v>
      </c>
      <c r="I49" s="4"/>
      <c r="J49" s="4"/>
      <c r="K49" s="4"/>
      <c r="L49" s="4"/>
      <c r="M49" s="4"/>
      <c r="N49" s="4"/>
      <c r="O49" s="4"/>
    </row>
  </sheetData>
  <protectedRanges>
    <protectedRange sqref="E15" name="Rango1"/>
    <protectedRange sqref="E17" name="Rango1_1"/>
    <protectedRange sqref="F15" name="Rango1_2"/>
    <protectedRange sqref="F17" name="Rango1_3"/>
    <protectedRange sqref="E24" name="Rango1_4"/>
    <protectedRange sqref="F24" name="Rango1_5"/>
    <protectedRange sqref="I15" name="Rango1_6"/>
    <protectedRange sqref="J15:K15" name="Rango1_7"/>
    <protectedRange sqref="I17" name="Rango1_8"/>
    <protectedRange sqref="J17:K17" name="Rango1_9"/>
    <protectedRange sqref="I24" name="Rango1_10"/>
    <protectedRange sqref="J24:K24" name="Rango1_11"/>
  </protectedRanges>
  <mergeCells count="40">
    <mergeCell ref="P42:Q42"/>
    <mergeCell ref="H48:O48"/>
    <mergeCell ref="H49:O49"/>
    <mergeCell ref="C18:D18"/>
    <mergeCell ref="B22:D22"/>
    <mergeCell ref="C24:D24"/>
    <mergeCell ref="C25:D25"/>
    <mergeCell ref="C26:D26"/>
    <mergeCell ref="C28:D28"/>
    <mergeCell ref="E7:E9"/>
    <mergeCell ref="G7:G9"/>
    <mergeCell ref="H7:N7"/>
    <mergeCell ref="O7:O8"/>
    <mergeCell ref="P7:Q7"/>
    <mergeCell ref="C12:D12"/>
    <mergeCell ref="B10:D10"/>
    <mergeCell ref="B1:O1"/>
    <mergeCell ref="B2:O2"/>
    <mergeCell ref="B3:O3"/>
    <mergeCell ref="E5:L5"/>
    <mergeCell ref="B38:D38"/>
    <mergeCell ref="C32:D32"/>
    <mergeCell ref="C36:D36"/>
    <mergeCell ref="C13:D13"/>
    <mergeCell ref="C11:D11"/>
    <mergeCell ref="C42:D42"/>
    <mergeCell ref="C19:D19"/>
    <mergeCell ref="B7:D9"/>
    <mergeCell ref="B40:D40"/>
    <mergeCell ref="B39:D39"/>
    <mergeCell ref="C29:D29"/>
    <mergeCell ref="C30:D30"/>
    <mergeCell ref="C31:D31"/>
    <mergeCell ref="C23:D23"/>
    <mergeCell ref="B27:D27"/>
    <mergeCell ref="C20:D20"/>
    <mergeCell ref="C17:D17"/>
    <mergeCell ref="B14:D14"/>
    <mergeCell ref="C15:D15"/>
    <mergeCell ref="C16:D16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7" right="0.7" top="0.75" bottom="0.75" header="0.3" footer="0.3"/>
  <pageSetup scale="3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2018-03-14T02:54:54Z</dcterms:created>
  <dcterms:modified xsi:type="dcterms:W3CDTF">2018-03-14T03:08:36Z</dcterms:modified>
</cp:coreProperties>
</file>